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<sst xmlns="http://schemas.openxmlformats.org/spreadsheetml/2006/main" count="1561" uniqueCount="227">
  <si>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</si>
  <si>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</si>
  <si>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</si>
  <si>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</si>
  <si>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</si>
  <si>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</si>
  <si>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</si>
  <si>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</si>
  <si>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</si>
  <si>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</si>
  <si>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</si>
  <si>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</si>
  <si>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</si>
  <si>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</si>
  <si>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</si>
  <si>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</si>
  <si>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</si>
  <si>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</si>
  <si>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</si>
  <si>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</si>
  <si>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</si>
  <si>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</si>
  <si>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</si>
  <si>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</si>
  <si>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</si>
  <si>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</si>
  <si>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</si>
  <si>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</si>
  <si>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</si>
  <si>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</si>
  <si>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</si>
  <si>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</si>
  <si>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</si>
  <si>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</si>
  <si>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</si>
  <si>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</si>
  <si>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</si>
  <si>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</si>
  <si>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</si>
  <si>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</si>
  <si>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</si>
  <si>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</si>
  <si>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</si>
  <si>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</si>
  <si>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</si>
  <si>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</si>
  <si>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</si>
  <si>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</si>
  <si>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</si>
  <si>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</si>
  <si>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</si>
  <si>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</si>
  <si>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</si>
  <si>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</si>
  <si>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</si>
  <si>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</si>
  <si>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</si>
  <si>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</si>
  <si>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</si>
  <si>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</si>
  <si>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</si>
  <si>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</si>
  <si>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</si>
  <si>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</si>
  <si>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</si>
  <si>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</si>
  <si>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</si>
  <si>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</si>
  <si>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</si>
  <si>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</si>
  <si>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</si>
  <si>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</si>
  <si>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</si>
  <si>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</si>
  <si>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</si>
  <si>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</si>
  <si>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</si>
  <si>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</si>
  <si>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</si>
  <si>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</si>
  <si>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</si>
  <si>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</si>
  <si>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</si>
  <si>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</si>
  <si>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</si>
  <si>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</si>
  <si>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</si>
  <si>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</si>
  <si>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</si>
  <si>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</si>
  <si>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</si>
  <si>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</si>
  <si>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</si>
  <si>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</si>
  <si>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</si>
  <si>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</si>
  <si>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</si>
  <si>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</si>
  <si>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</si>
  <si>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</si>
  <si>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</si>
  <si>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</si>
  <si>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</si>
  <si>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</si>
  <si>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</si>
  <si>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</si>
  <si>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</si>
  <si>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</si>
  <si>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</si>
  <si>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</si>
  <si>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</si>
  <si>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</si>
  <si>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</si>
  <si>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</si>
  <si>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</si>
  <si>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</si>
  <si>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</si>
  <si>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</si>
  <si>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</si>
  <si>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</si>
  <si>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</si>
  <si>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</si>
  <si>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</si>
  <si>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</si>
  <si>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</si>
  <si>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</si>
  <si>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</si>
  <si>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</si>
  <si>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</si>
  <si>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</si>
  <si>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</si>
  <si>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</si>
  <si>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</si>
  <si>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</si>
  <si>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</si>
  <si>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</si>
  <si>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</si>
  <si>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</si>
  <si>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</si>
  <si>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</si>
  <si>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</si>
  <si>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</si>
  <si>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</si>
  <si>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</si>
  <si>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</si>
  <si>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</si>
  <si>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</si>
  <si>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</si>
  <si>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</si>
  <si>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</si>
  <si>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</si>
  <si>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</si>
  <si>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</si>
  <si>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</si>
  <si>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</si>
  <si>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</si>
  <si>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</si>
  <si>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</si>
  <si>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</si>
  <si>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</si>
  <si>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</si>
  <si>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</si>
  <si>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</si>
  <si>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</si>
  <si>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</si>
  <si>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</si>
  <si>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</si>
  <si>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</si>
  <si>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</si>
  <si>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</si>
  <si>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</si>
  <si>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</si>
  <si>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</si>
  <si>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</si>
  <si>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</si>
  <si>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</si>
  <si>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</si>
  <si>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</si>
  <si>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</si>
  <si>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</si>
  <si>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</si>
  <si>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</si>
  <si>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</si>
  <si>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</si>
  <si>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</si>
  <si>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</si>
  <si>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</si>
  <si>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</si>
  <si>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</si>
  <si>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</si>
  <si>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</si>
  <si>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</si>
  <si>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</si>
  <si>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</si>
  <si>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</si>
  <si>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</si>
  <si>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</si>
  <si>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</si>
  <si>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</si>
  <si>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</si>
  <si>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</si>
  <si>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</si>
  <si>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</si>
  <si>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</si>
  <si>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</si>
  <si>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</si>
  <si>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</si>
  <si>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</si>
  <si>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</si>
  <si>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</si>
  <si>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</si>
  <si>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</si>
  <si>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</si>
  <si>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</si>
  <si>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</si>
  <si>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</si>
  <si>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</si>
  <si>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</si>
  <si>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</si>
  <si>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</si>
  <si>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</si>
  <si>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</si>
  <si>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</si>
  <si>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</si>
  <si>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</si>
  <si>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</si>
  <si>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10.11.16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</si>
</sst>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79190.69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225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219</v>
      </c>
      <c r="O3" s="450" t="s">
        <v>220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217</v>
      </c>
      <c r="H4" s="435" t="s">
        <v>218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221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821473.04</v>
      </c>
      <c r="G8" s="191">
        <f aca="true" t="shared" si="0" ref="G8:G37">F8-E8</f>
        <v>-62948.80999999994</v>
      </c>
      <c r="H8" s="192">
        <f>F8/E8*100</f>
        <v>92.88249040884732</v>
      </c>
      <c r="I8" s="193">
        <f>F8-D8</f>
        <v>-135598.41000000003</v>
      </c>
      <c r="J8" s="193">
        <f>F8/D8*100</f>
        <v>85.83194493995198</v>
      </c>
      <c r="K8" s="191">
        <v>608809.78</v>
      </c>
      <c r="L8" s="191">
        <f aca="true" t="shared" si="1" ref="L8:L51">F8-K8</f>
        <v>212663.26</v>
      </c>
      <c r="M8" s="250">
        <f aca="true" t="shared" si="2" ref="M8:M28">F8/K8</f>
        <v>1.3493098616122756</v>
      </c>
      <c r="N8" s="191">
        <f>N9+N15+N18+N19+N20+N17</f>
        <v>88745.92000000001</v>
      </c>
      <c r="O8" s="191">
        <f>O9+O15+O18+O19+O20+O17</f>
        <v>23854.280000000035</v>
      </c>
      <c r="P8" s="191">
        <f>O8-N8</f>
        <v>-64891.63999999998</v>
      </c>
      <c r="Q8" s="191">
        <f>O8/N8*100</f>
        <v>26.879297662360173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444742.78</v>
      </c>
      <c r="G9" s="190">
        <f t="shared" si="0"/>
        <v>-36977.889999999956</v>
      </c>
      <c r="H9" s="197">
        <f>F9/E9*100</f>
        <v>92.3237900503626</v>
      </c>
      <c r="I9" s="198">
        <f>F9-D9</f>
        <v>-85846.21999999997</v>
      </c>
      <c r="J9" s="198">
        <f>F9/D9*100</f>
        <v>83.82058052466222</v>
      </c>
      <c r="K9" s="412">
        <v>329224.03</v>
      </c>
      <c r="L9" s="199">
        <f t="shared" si="1"/>
        <v>115518.75</v>
      </c>
      <c r="M9" s="251">
        <f t="shared" si="2"/>
        <v>1.3508818903650501</v>
      </c>
      <c r="N9" s="197">
        <f>E9-жовтень!E9</f>
        <v>52597</v>
      </c>
      <c r="O9" s="200">
        <f>F9-жовтень!F9</f>
        <v>13459.990000000049</v>
      </c>
      <c r="P9" s="201">
        <f>O9-N9</f>
        <v>-39137.00999999995</v>
      </c>
      <c r="Q9" s="198">
        <f>O9/N9*100</f>
        <v>25.590794151757795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391921.73</v>
      </c>
      <c r="G10" s="109">
        <f t="shared" si="0"/>
        <v>-45528.51000000001</v>
      </c>
      <c r="H10" s="32">
        <f aca="true" t="shared" si="3" ref="H10:H36">F10/E10*100</f>
        <v>89.59229968647405</v>
      </c>
      <c r="I10" s="110">
        <f aca="true" t="shared" si="4" ref="I10:I37">F10-D10</f>
        <v>-93287.27000000002</v>
      </c>
      <c r="J10" s="110">
        <f aca="true" t="shared" si="5" ref="J10:J36">F10/D10*100</f>
        <v>80.77379644647976</v>
      </c>
      <c r="K10" s="112">
        <v>292222.53</v>
      </c>
      <c r="L10" s="112">
        <f t="shared" si="1"/>
        <v>99699.19999999995</v>
      </c>
      <c r="M10" s="252">
        <f t="shared" si="2"/>
        <v>1.3411756102446992</v>
      </c>
      <c r="N10" s="111">
        <f>E10-жовтень!E10</f>
        <v>51300</v>
      </c>
      <c r="O10" s="179">
        <f>F10-жовтень!F10</f>
        <v>12473.380000000005</v>
      </c>
      <c r="P10" s="112">
        <f aca="true" t="shared" si="6" ref="P10:P37">O10-N10</f>
        <v>-38826.619999999995</v>
      </c>
      <c r="Q10" s="198">
        <f aca="true" t="shared" si="7" ref="Q10:Q16">O10/N10*100</f>
        <v>24.31458089668617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32929.68</v>
      </c>
      <c r="G11" s="109">
        <f t="shared" si="0"/>
        <v>10014.740000000002</v>
      </c>
      <c r="H11" s="32">
        <f t="shared" si="3"/>
        <v>143.70397653234093</v>
      </c>
      <c r="I11" s="110">
        <f t="shared" si="4"/>
        <v>9929.68</v>
      </c>
      <c r="J11" s="110">
        <f t="shared" si="5"/>
        <v>143.17252173913045</v>
      </c>
      <c r="K11" s="112">
        <v>17520.05</v>
      </c>
      <c r="L11" s="112">
        <f t="shared" si="1"/>
        <v>15409.630000000001</v>
      </c>
      <c r="M11" s="252">
        <f t="shared" si="2"/>
        <v>1.879542581214095</v>
      </c>
      <c r="N11" s="111">
        <f>E11-жовтень!E11</f>
        <v>100</v>
      </c>
      <c r="O11" s="179">
        <f>F11-жовтень!F11</f>
        <v>165.58000000000175</v>
      </c>
      <c r="P11" s="112">
        <f t="shared" si="6"/>
        <v>65.58000000000175</v>
      </c>
      <c r="Q11" s="198">
        <f t="shared" si="7"/>
        <v>165.58000000000175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8506.59</v>
      </c>
      <c r="G12" s="109">
        <f t="shared" si="0"/>
        <v>2045.9800000000005</v>
      </c>
      <c r="H12" s="32">
        <f t="shared" si="3"/>
        <v>131.66852665615167</v>
      </c>
      <c r="I12" s="110">
        <f t="shared" si="4"/>
        <v>2006.5900000000001</v>
      </c>
      <c r="J12" s="110">
        <f t="shared" si="5"/>
        <v>130.8706153846154</v>
      </c>
      <c r="K12" s="112">
        <v>4581.23</v>
      </c>
      <c r="L12" s="112">
        <f t="shared" si="1"/>
        <v>3925.3600000000006</v>
      </c>
      <c r="M12" s="252">
        <f t="shared" si="2"/>
        <v>1.8568353913686937</v>
      </c>
      <c r="N12" s="111">
        <f>E12-жовтень!E12</f>
        <v>80</v>
      </c>
      <c r="O12" s="179">
        <f>F12-жовтень!F12</f>
        <v>530.0200000000004</v>
      </c>
      <c r="P12" s="112">
        <f t="shared" si="6"/>
        <v>450.02000000000044</v>
      </c>
      <c r="Q12" s="198">
        <f t="shared" si="7"/>
        <v>662.5250000000005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8550.83</v>
      </c>
      <c r="G13" s="109">
        <f t="shared" si="0"/>
        <v>-2864.01</v>
      </c>
      <c r="H13" s="32">
        <f t="shared" si="3"/>
        <v>74.90976658455133</v>
      </c>
      <c r="I13" s="110">
        <f t="shared" si="4"/>
        <v>-3849.17</v>
      </c>
      <c r="J13" s="110">
        <f t="shared" si="5"/>
        <v>68.9583064516129</v>
      </c>
      <c r="K13" s="112">
        <v>6730.35</v>
      </c>
      <c r="L13" s="112">
        <f t="shared" si="1"/>
        <v>1820.4799999999996</v>
      </c>
      <c r="M13" s="252">
        <f t="shared" si="2"/>
        <v>1.27048816183408</v>
      </c>
      <c r="N13" s="111">
        <f>E13-жовтень!E13</f>
        <v>1100</v>
      </c>
      <c r="O13" s="179">
        <f>F13-жовтень!F13</f>
        <v>201.03999999999905</v>
      </c>
      <c r="P13" s="112">
        <f t="shared" si="6"/>
        <v>-898.960000000001</v>
      </c>
      <c r="Q13" s="198">
        <f t="shared" si="7"/>
        <v>18.27636363636355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2833.96</v>
      </c>
      <c r="G14" s="109">
        <f t="shared" si="0"/>
        <v>-646.0799999999999</v>
      </c>
      <c r="H14" s="32">
        <f t="shared" si="3"/>
        <v>81.43469615291778</v>
      </c>
      <c r="I14" s="110">
        <f t="shared" si="4"/>
        <v>-646.04</v>
      </c>
      <c r="J14" s="110">
        <f t="shared" si="5"/>
        <v>81.43563218390804</v>
      </c>
      <c r="K14" s="112">
        <v>8169.86</v>
      </c>
      <c r="L14" s="112">
        <f t="shared" si="1"/>
        <v>-5335.9</v>
      </c>
      <c r="M14" s="252">
        <f t="shared" si="2"/>
        <v>0.3468798730945206</v>
      </c>
      <c r="N14" s="111">
        <f>E14-жовтень!E14</f>
        <v>17</v>
      </c>
      <c r="O14" s="179">
        <f>F14-жовтень!F14</f>
        <v>89.97000000000025</v>
      </c>
      <c r="P14" s="112">
        <f t="shared" si="6"/>
        <v>72.97000000000025</v>
      </c>
      <c r="Q14" s="198">
        <f t="shared" si="7"/>
        <v>529.2352941176486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398.43</v>
      </c>
      <c r="G15" s="190">
        <f t="shared" si="0"/>
        <v>-96.57</v>
      </c>
      <c r="H15" s="197">
        <f>F15/E15*100</f>
        <v>80.49090909090908</v>
      </c>
      <c r="I15" s="198">
        <f t="shared" si="4"/>
        <v>-101.57</v>
      </c>
      <c r="J15" s="198">
        <f t="shared" si="5"/>
        <v>79.686</v>
      </c>
      <c r="K15" s="201">
        <v>-536.92</v>
      </c>
      <c r="L15" s="201">
        <f t="shared" si="1"/>
        <v>935.3499999999999</v>
      </c>
      <c r="M15" s="253">
        <f t="shared" si="2"/>
        <v>-0.7420658571109291</v>
      </c>
      <c r="N15" s="197">
        <f>E15-жовтень!E15</f>
        <v>115</v>
      </c>
      <c r="O15" s="200">
        <f>F15-жовтень!F15</f>
        <v>11.610000000000014</v>
      </c>
      <c r="P15" s="201">
        <f t="shared" si="6"/>
        <v>-103.38999999999999</v>
      </c>
      <c r="Q15" s="198">
        <f t="shared" si="7"/>
        <v>10.095652173913056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83803.98</v>
      </c>
      <c r="G19" s="190">
        <f t="shared" si="0"/>
        <v>-17596.42</v>
      </c>
      <c r="H19" s="197">
        <f t="shared" si="3"/>
        <v>82.64659705484397</v>
      </c>
      <c r="I19" s="198">
        <f t="shared" si="4"/>
        <v>-26096.020000000004</v>
      </c>
      <c r="J19" s="198">
        <f t="shared" si="5"/>
        <v>76.25475887170154</v>
      </c>
      <c r="K19" s="209">
        <v>65538.97</v>
      </c>
      <c r="L19" s="201">
        <f t="shared" si="1"/>
        <v>18265.009999999995</v>
      </c>
      <c r="M19" s="259">
        <f t="shared" si="2"/>
        <v>1.2786893050043355</v>
      </c>
      <c r="N19" s="197">
        <f>E19-жовтень!E19</f>
        <v>10440</v>
      </c>
      <c r="O19" s="200">
        <f>F19-жовтень!F19</f>
        <v>173.5500000000029</v>
      </c>
      <c r="P19" s="201">
        <f t="shared" si="6"/>
        <v>-10266.449999999997</v>
      </c>
      <c r="Q19" s="198">
        <f aca="true" t="shared" si="9" ref="Q19:Q24">O19/N19*100</f>
        <v>1.6623563218391084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292402.98</v>
      </c>
      <c r="G20" s="190">
        <f t="shared" si="0"/>
        <v>-8297</v>
      </c>
      <c r="H20" s="197">
        <f t="shared" si="3"/>
        <v>97.2407713495691</v>
      </c>
      <c r="I20" s="198">
        <f t="shared" si="4"/>
        <v>-23573.670000000042</v>
      </c>
      <c r="J20" s="198">
        <f t="shared" si="5"/>
        <v>92.53942656838724</v>
      </c>
      <c r="K20" s="198">
        <v>207711.81</v>
      </c>
      <c r="L20" s="201">
        <f t="shared" si="1"/>
        <v>84691.16999999998</v>
      </c>
      <c r="M20" s="254">
        <f t="shared" si="2"/>
        <v>1.4077340137761063</v>
      </c>
      <c r="N20" s="197">
        <f>N21+N30+N31+N32</f>
        <v>25593.920000000013</v>
      </c>
      <c r="O20" s="200">
        <f>F20-жовтень!F20</f>
        <v>10190.229999999981</v>
      </c>
      <c r="P20" s="201">
        <f t="shared" si="6"/>
        <v>-15403.690000000031</v>
      </c>
      <c r="Q20" s="198">
        <f t="shared" si="9"/>
        <v>39.815042009977276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155124.38</v>
      </c>
      <c r="G21" s="190">
        <f t="shared" si="0"/>
        <v>-7839.040000000008</v>
      </c>
      <c r="H21" s="197">
        <f t="shared" si="3"/>
        <v>95.18969349072324</v>
      </c>
      <c r="I21" s="198">
        <f t="shared" si="4"/>
        <v>-19775.26999999999</v>
      </c>
      <c r="J21" s="198">
        <f t="shared" si="5"/>
        <v>88.69336216510439</v>
      </c>
      <c r="K21" s="198">
        <v>109750.31</v>
      </c>
      <c r="L21" s="201">
        <f t="shared" si="1"/>
        <v>45374.07000000001</v>
      </c>
      <c r="M21" s="254">
        <f t="shared" si="2"/>
        <v>1.4134299939562813</v>
      </c>
      <c r="N21" s="197">
        <f>N22+N25+N26</f>
        <v>13520.01000000001</v>
      </c>
      <c r="O21" s="200">
        <f>F21-жовтень!F21</f>
        <v>1468.0599999999977</v>
      </c>
      <c r="P21" s="201">
        <f t="shared" si="6"/>
        <v>-12051.950000000012</v>
      </c>
      <c r="Q21" s="198">
        <f t="shared" si="9"/>
        <v>10.858423921284057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20421.67</v>
      </c>
      <c r="G22" s="212">
        <f t="shared" si="0"/>
        <v>2697.269999999997</v>
      </c>
      <c r="H22" s="214">
        <f t="shared" si="3"/>
        <v>115.2178353004897</v>
      </c>
      <c r="I22" s="215">
        <f t="shared" si="4"/>
        <v>1921.6699999999983</v>
      </c>
      <c r="J22" s="215">
        <f t="shared" si="5"/>
        <v>110.38740540540539</v>
      </c>
      <c r="K22" s="216">
        <v>12713.66</v>
      </c>
      <c r="L22" s="206">
        <f t="shared" si="1"/>
        <v>7708.009999999998</v>
      </c>
      <c r="M22" s="262">
        <f t="shared" si="2"/>
        <v>1.606277814571099</v>
      </c>
      <c r="N22" s="214">
        <f>E22-жовтень!E22</f>
        <v>400</v>
      </c>
      <c r="O22" s="217">
        <f>F22-жовтень!F22</f>
        <v>200.27999999999884</v>
      </c>
      <c r="P22" s="218">
        <f t="shared" si="6"/>
        <v>-199.72000000000116</v>
      </c>
      <c r="Q22" s="215">
        <f t="shared" si="9"/>
        <v>50.0699999999997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800.84</v>
      </c>
      <c r="G23" s="241">
        <f t="shared" si="0"/>
        <v>-623.5600000000001</v>
      </c>
      <c r="H23" s="242">
        <f t="shared" si="3"/>
        <v>56.22297107554057</v>
      </c>
      <c r="I23" s="243">
        <f t="shared" si="4"/>
        <v>-1199.1599999999999</v>
      </c>
      <c r="J23" s="243">
        <f t="shared" si="5"/>
        <v>40.042</v>
      </c>
      <c r="K23" s="243">
        <v>683.67</v>
      </c>
      <c r="L23" s="243">
        <f t="shared" si="1"/>
        <v>117.17000000000007</v>
      </c>
      <c r="M23" s="413">
        <f t="shared" si="2"/>
        <v>1.1713838547837407</v>
      </c>
      <c r="N23" s="242">
        <f>E23-жовтень!E23</f>
        <v>200</v>
      </c>
      <c r="O23" s="242">
        <f>F23-жовтень!F23</f>
        <v>5.300000000000068</v>
      </c>
      <c r="P23" s="243">
        <f t="shared" si="6"/>
        <v>-194.69999999999993</v>
      </c>
      <c r="Q23" s="243">
        <f t="shared" si="9"/>
        <v>2.650000000000034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19620.83</v>
      </c>
      <c r="G24" s="241">
        <f t="shared" si="0"/>
        <v>3320.8300000000017</v>
      </c>
      <c r="H24" s="242">
        <f t="shared" si="3"/>
        <v>120.37319018404908</v>
      </c>
      <c r="I24" s="243">
        <f t="shared" si="4"/>
        <v>3120.8300000000017</v>
      </c>
      <c r="J24" s="243">
        <f t="shared" si="5"/>
        <v>118.91412121212122</v>
      </c>
      <c r="K24" s="243">
        <v>12029.99</v>
      </c>
      <c r="L24" s="243">
        <f t="shared" si="1"/>
        <v>7590.840000000002</v>
      </c>
      <c r="M24" s="413">
        <f t="shared" si="2"/>
        <v>1.6309930432194875</v>
      </c>
      <c r="N24" s="242">
        <f>E24-жовтень!E24</f>
        <v>200</v>
      </c>
      <c r="O24" s="242">
        <f>F24-жовтень!F24</f>
        <v>194.9800000000032</v>
      </c>
      <c r="P24" s="243">
        <f t="shared" si="6"/>
        <v>-5.019999999996799</v>
      </c>
      <c r="Q24" s="243">
        <f t="shared" si="9"/>
        <v>97.4900000000016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133892.42</v>
      </c>
      <c r="G26" s="212">
        <f t="shared" si="0"/>
        <v>-10366.559999999998</v>
      </c>
      <c r="H26" s="214">
        <f t="shared" si="3"/>
        <v>92.81392395814805</v>
      </c>
      <c r="I26" s="215">
        <f t="shared" si="4"/>
        <v>-21507.22999999998</v>
      </c>
      <c r="J26" s="215">
        <f t="shared" si="5"/>
        <v>86.1600524840307</v>
      </c>
      <c r="K26" s="216">
        <v>93387.45</v>
      </c>
      <c r="L26" s="216">
        <f t="shared" si="1"/>
        <v>40504.970000000016</v>
      </c>
      <c r="M26" s="256">
        <f t="shared" si="2"/>
        <v>1.4337303352859514</v>
      </c>
      <c r="N26" s="214">
        <f>E26-жовтень!E26</f>
        <v>13120.01000000001</v>
      </c>
      <c r="O26" s="217">
        <f>F26-жовтень!F26</f>
        <v>1267.7799999999988</v>
      </c>
      <c r="P26" s="218">
        <f t="shared" si="6"/>
        <v>-11852.23000000001</v>
      </c>
      <c r="Q26" s="215">
        <f>O26/N26*100</f>
        <v>9.662949952019838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42195.99</v>
      </c>
      <c r="G27" s="241">
        <f t="shared" si="0"/>
        <v>-2215.810000000005</v>
      </c>
      <c r="H27" s="242">
        <f t="shared" si="3"/>
        <v>95.01076290535397</v>
      </c>
      <c r="I27" s="243">
        <f t="shared" si="4"/>
        <v>-5171.010000000002</v>
      </c>
      <c r="J27" s="243">
        <f t="shared" si="5"/>
        <v>89.08309582620811</v>
      </c>
      <c r="K27" s="243">
        <v>25267.13</v>
      </c>
      <c r="L27" s="243">
        <f t="shared" si="1"/>
        <v>16928.859999999997</v>
      </c>
      <c r="M27" s="413">
        <f t="shared" si="2"/>
        <v>1.669995365520342</v>
      </c>
      <c r="N27" s="242">
        <f>E27-жовтень!E27</f>
        <v>4010</v>
      </c>
      <c r="O27" s="242">
        <f>F27-жовтень!F27</f>
        <v>189.70999999999913</v>
      </c>
      <c r="P27" s="243">
        <f t="shared" si="6"/>
        <v>-3820.290000000001</v>
      </c>
      <c r="Q27" s="243">
        <f>O27/N27*100</f>
        <v>4.730922693266812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91696.44</v>
      </c>
      <c r="G28" s="241">
        <f t="shared" si="0"/>
        <v>-8150.729999999996</v>
      </c>
      <c r="H28" s="242">
        <f t="shared" si="3"/>
        <v>91.83679417253389</v>
      </c>
      <c r="I28" s="243">
        <f t="shared" si="4"/>
        <v>-16336.209999999992</v>
      </c>
      <c r="J28" s="243">
        <f t="shared" si="5"/>
        <v>84.87845109788569</v>
      </c>
      <c r="K28" s="243">
        <v>68120.32</v>
      </c>
      <c r="L28" s="243">
        <f t="shared" si="1"/>
        <v>23576.119999999995</v>
      </c>
      <c r="M28" s="413">
        <f t="shared" si="2"/>
        <v>1.3460952620304778</v>
      </c>
      <c r="N28" s="242">
        <f>E28-жовтень!E28</f>
        <v>9110</v>
      </c>
      <c r="O28" s="242">
        <f>F28-жовтень!F28</f>
        <v>1078.0800000000017</v>
      </c>
      <c r="P28" s="243">
        <f t="shared" si="6"/>
        <v>-8031.919999999998</v>
      </c>
      <c r="Q28" s="243">
        <f>O28/N28*100</f>
        <v>11.834028540065882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104.41</v>
      </c>
      <c r="G30" s="190">
        <f t="shared" si="0"/>
        <v>33.599999999999994</v>
      </c>
      <c r="H30" s="197">
        <f t="shared" si="3"/>
        <v>147.4509250105917</v>
      </c>
      <c r="I30" s="198">
        <f t="shared" si="4"/>
        <v>27.409999999999997</v>
      </c>
      <c r="J30" s="198">
        <f t="shared" si="5"/>
        <v>135.59740259740258</v>
      </c>
      <c r="K30" s="198">
        <v>74.09</v>
      </c>
      <c r="L30" s="198">
        <f t="shared" si="1"/>
        <v>30.319999999999993</v>
      </c>
      <c r="M30" s="255">
        <f>F30/K30</f>
        <v>1.40923201511675</v>
      </c>
      <c r="N30" s="197">
        <f>E30-жовтень!E30</f>
        <v>8</v>
      </c>
      <c r="O30" s="200">
        <f>F30-жовтень!F30</f>
        <v>8.22999999999999</v>
      </c>
      <c r="P30" s="201">
        <f t="shared" si="6"/>
        <v>0.22999999999998977</v>
      </c>
      <c r="Q30" s="198">
        <f>O30/N30*100</f>
        <v>102.87499999999987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137348.01</v>
      </c>
      <c r="G32" s="202">
        <f t="shared" si="0"/>
        <v>-317.7399999999907</v>
      </c>
      <c r="H32" s="204">
        <f t="shared" si="3"/>
        <v>99.76919458906809</v>
      </c>
      <c r="I32" s="205">
        <f t="shared" si="4"/>
        <v>-3651.9899999999907</v>
      </c>
      <c r="J32" s="205">
        <f t="shared" si="5"/>
        <v>97.40993617021277</v>
      </c>
      <c r="K32" s="219">
        <v>98660.28</v>
      </c>
      <c r="L32" s="219">
        <f>F32-K32</f>
        <v>38687.73000000001</v>
      </c>
      <c r="M32" s="411">
        <f>F32/K32</f>
        <v>1.392130754139356</v>
      </c>
      <c r="N32" s="197">
        <f>E32-жовтень!E32</f>
        <v>12065.910000000003</v>
      </c>
      <c r="O32" s="200">
        <f>F32-жовтень!F32</f>
        <v>8714.840000000011</v>
      </c>
      <c r="P32" s="207">
        <f t="shared" si="6"/>
        <v>-3351.0699999999924</v>
      </c>
      <c r="Q32" s="205">
        <f>O32/N32*100</f>
        <v>72.2269600883813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33852.32</v>
      </c>
      <c r="G34" s="109">
        <f t="shared" si="0"/>
        <v>589.3499999999985</v>
      </c>
      <c r="H34" s="111">
        <f t="shared" si="3"/>
        <v>101.77179007166227</v>
      </c>
      <c r="I34" s="110">
        <f t="shared" si="4"/>
        <v>-364.6800000000003</v>
      </c>
      <c r="J34" s="110">
        <f t="shared" si="5"/>
        <v>98.93421398719934</v>
      </c>
      <c r="K34" s="142">
        <v>23706.55</v>
      </c>
      <c r="L34" s="142">
        <f t="shared" si="1"/>
        <v>10145.77</v>
      </c>
      <c r="M34" s="264">
        <f t="shared" si="10"/>
        <v>1.42797328164579</v>
      </c>
      <c r="N34" s="111">
        <f>E34-жовтень!E34</f>
        <v>2600</v>
      </c>
      <c r="O34" s="179">
        <f>F34-жовтень!F34</f>
        <v>2276.279999999999</v>
      </c>
      <c r="P34" s="112">
        <f t="shared" si="6"/>
        <v>-323.72000000000116</v>
      </c>
      <c r="Q34" s="110">
        <f>O34/N34*100</f>
        <v>87.54923076923072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103442.38</v>
      </c>
      <c r="G35" s="109">
        <f t="shared" si="0"/>
        <v>-909.3999999999942</v>
      </c>
      <c r="H35" s="111">
        <f t="shared" si="3"/>
        <v>99.12852468831869</v>
      </c>
      <c r="I35" s="110">
        <f t="shared" si="4"/>
        <v>-3289.6199999999953</v>
      </c>
      <c r="J35" s="110">
        <f t="shared" si="5"/>
        <v>96.91786905520368</v>
      </c>
      <c r="K35" s="142">
        <v>74922.37</v>
      </c>
      <c r="L35" s="142">
        <f t="shared" si="1"/>
        <v>28520.01000000001</v>
      </c>
      <c r="M35" s="264">
        <f t="shared" si="10"/>
        <v>1.3806608093150285</v>
      </c>
      <c r="N35" s="111">
        <f>E35-жовтень!E35</f>
        <v>9431.699999999997</v>
      </c>
      <c r="O35" s="179">
        <f>F35-жовтень!F35</f>
        <v>6438.559999999998</v>
      </c>
      <c r="P35" s="112">
        <f t="shared" si="6"/>
        <v>-2993.1399999999994</v>
      </c>
      <c r="Q35" s="110">
        <f>O35/N35*100</f>
        <v>68.26510597241217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59800.4</v>
      </c>
      <c r="G38" s="191">
        <f>G39+G40+G41+G42+G43+G45+G47+G48+G49+G50+G51+G56+G57+G61</f>
        <v>565.4200000000008</v>
      </c>
      <c r="H38" s="192">
        <f>F38/E38*100</f>
        <v>101.04144648480342</v>
      </c>
      <c r="I38" s="193">
        <f>F38-D38</f>
        <v>-2042.0800000000017</v>
      </c>
      <c r="J38" s="193">
        <f>F38/D38*100</f>
        <v>96.69793320060903</v>
      </c>
      <c r="K38" s="191">
        <v>41741.88</v>
      </c>
      <c r="L38" s="191">
        <f t="shared" si="1"/>
        <v>18058.520000000004</v>
      </c>
      <c r="M38" s="250">
        <f t="shared" si="10"/>
        <v>1.4326235425907987</v>
      </c>
      <c r="N38" s="191">
        <f>N39+N40+N41+N42+N43+N45+N47+N48+N49+N50+N51+N56+N57+N61+N44</f>
        <v>3889</v>
      </c>
      <c r="O38" s="191">
        <f>O39+O40+O41+O42+O43+O45+O47+O48+O49+O50+O51+O56+O57+O61+O44</f>
        <v>4782.670000000003</v>
      </c>
      <c r="P38" s="191">
        <f>P39+P40+P41+P42+P43+P45+P47+P48+P49+P50+P51+P56+P57+P61</f>
        <v>876.6700000000021</v>
      </c>
      <c r="Q38" s="191">
        <f>O38/N38*100</f>
        <v>122.97942915916695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549.33</v>
      </c>
      <c r="G39" s="202">
        <f>F39-E39</f>
        <v>151.33000000000004</v>
      </c>
      <c r="H39" s="204">
        <f aca="true" t="shared" si="11" ref="H39:H62">F39/E39*100</f>
        <v>138.02261306532665</v>
      </c>
      <c r="I39" s="205">
        <f>F39-D39</f>
        <v>149.33000000000004</v>
      </c>
      <c r="J39" s="205">
        <f>F39/D39*100</f>
        <v>137.3325</v>
      </c>
      <c r="K39" s="205">
        <v>0.21</v>
      </c>
      <c r="L39" s="205">
        <f t="shared" si="1"/>
        <v>549.12</v>
      </c>
      <c r="M39" s="266">
        <f t="shared" si="10"/>
        <v>2615.857142857143</v>
      </c>
      <c r="N39" s="204">
        <f>E39-жовтень!E39</f>
        <v>12</v>
      </c>
      <c r="O39" s="208">
        <f>F39-жовтень!F39</f>
        <v>64.50000000000006</v>
      </c>
      <c r="P39" s="207">
        <f>O39-N39</f>
        <v>52.50000000000006</v>
      </c>
      <c r="Q39" s="205">
        <f aca="true" t="shared" si="12" ref="Q39:Q62">O39/N39*100</f>
        <v>537.5000000000005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217.39</v>
      </c>
      <c r="G43" s="202">
        <f t="shared" si="13"/>
        <v>107.38999999999999</v>
      </c>
      <c r="H43" s="204">
        <f t="shared" si="11"/>
        <v>197.62727272727273</v>
      </c>
      <c r="I43" s="205">
        <f t="shared" si="14"/>
        <v>67.38999999999999</v>
      </c>
      <c r="J43" s="205">
        <f t="shared" si="16"/>
        <v>144.92666666666665</v>
      </c>
      <c r="K43" s="205">
        <v>267.84</v>
      </c>
      <c r="L43" s="205">
        <f t="shared" si="1"/>
        <v>-50.44999999999999</v>
      </c>
      <c r="M43" s="266">
        <f t="shared" si="17"/>
        <v>0.8116412783751493</v>
      </c>
      <c r="N43" s="204">
        <f>E43-жовтень!E43</f>
        <v>10</v>
      </c>
      <c r="O43" s="208">
        <f>F43-жовтень!F43</f>
        <v>9.70999999999998</v>
      </c>
      <c r="P43" s="207">
        <f t="shared" si="15"/>
        <v>-0.29000000000002046</v>
      </c>
      <c r="Q43" s="205">
        <f t="shared" si="12"/>
        <v>97.0999999999998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64.95</v>
      </c>
      <c r="G44" s="202">
        <f t="shared" si="13"/>
        <v>50.95</v>
      </c>
      <c r="H44" s="204"/>
      <c r="I44" s="205">
        <f t="shared" si="14"/>
        <v>50.95</v>
      </c>
      <c r="J44" s="205"/>
      <c r="K44" s="205">
        <v>0</v>
      </c>
      <c r="L44" s="205">
        <f t="shared" si="1"/>
        <v>64.95</v>
      </c>
      <c r="M44" s="266"/>
      <c r="N44" s="204">
        <f>E44-жовтень!E44</f>
        <v>0</v>
      </c>
      <c r="O44" s="208">
        <f>F44-жовтень!F44</f>
        <v>17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570.09</v>
      </c>
      <c r="G45" s="202">
        <f t="shared" si="13"/>
        <v>280.09000000000003</v>
      </c>
      <c r="H45" s="204">
        <f t="shared" si="11"/>
        <v>196.58275862068965</v>
      </c>
      <c r="I45" s="205">
        <f t="shared" si="14"/>
        <v>270.09000000000003</v>
      </c>
      <c r="J45" s="205">
        <f t="shared" si="16"/>
        <v>190.03</v>
      </c>
      <c r="K45" s="205">
        <v>0</v>
      </c>
      <c r="L45" s="205">
        <f t="shared" si="1"/>
        <v>570.09</v>
      </c>
      <c r="M45" s="266"/>
      <c r="N45" s="204">
        <f>E45-жовтень!E45</f>
        <v>18</v>
      </c>
      <c r="O45" s="208">
        <f>F45-жовтень!F45</f>
        <v>39.07000000000005</v>
      </c>
      <c r="P45" s="207">
        <f t="shared" si="15"/>
        <v>21.07000000000005</v>
      </c>
      <c r="Q45" s="205">
        <f t="shared" si="12"/>
        <v>217.05555555555583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9310.81</v>
      </c>
      <c r="G47" s="202">
        <f t="shared" si="13"/>
        <v>-238.21000000000095</v>
      </c>
      <c r="H47" s="204">
        <f t="shared" si="11"/>
        <v>97.50539845973722</v>
      </c>
      <c r="I47" s="205">
        <f t="shared" si="14"/>
        <v>-589.1900000000005</v>
      </c>
      <c r="J47" s="205">
        <f t="shared" si="16"/>
        <v>94.04858585858585</v>
      </c>
      <c r="K47" s="205">
        <v>8884.54</v>
      </c>
      <c r="L47" s="205">
        <f t="shared" si="1"/>
        <v>426.2699999999986</v>
      </c>
      <c r="M47" s="266">
        <f t="shared" si="17"/>
        <v>1.0479788486517028</v>
      </c>
      <c r="N47" s="204">
        <f>E47-жовтень!E47</f>
        <v>800</v>
      </c>
      <c r="O47" s="208">
        <f>F47-жовтень!F47</f>
        <v>434.5699999999997</v>
      </c>
      <c r="P47" s="207">
        <f t="shared" si="15"/>
        <v>-365.4300000000003</v>
      </c>
      <c r="Q47" s="205">
        <f t="shared" si="12"/>
        <v>54.321249999999964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256.29</v>
      </c>
      <c r="G48" s="202">
        <f t="shared" si="13"/>
        <v>-393.71</v>
      </c>
      <c r="H48" s="204">
        <f t="shared" si="11"/>
        <v>39.42923076923077</v>
      </c>
      <c r="I48" s="205">
        <f t="shared" si="14"/>
        <v>-393.71</v>
      </c>
      <c r="J48" s="205">
        <f t="shared" si="16"/>
        <v>39.42923076923077</v>
      </c>
      <c r="K48" s="205">
        <v>0</v>
      </c>
      <c r="L48" s="205">
        <f t="shared" si="1"/>
        <v>256.29</v>
      </c>
      <c r="M48" s="266"/>
      <c r="N48" s="204">
        <f>E48-жовтень!E48</f>
        <v>0</v>
      </c>
      <c r="O48" s="208">
        <f>F48-жовтень!F48</f>
        <v>9.76000000000002</v>
      </c>
      <c r="P48" s="207">
        <f t="shared" si="15"/>
        <v>9.76000000000002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16.96</v>
      </c>
      <c r="G49" s="202">
        <f t="shared" si="13"/>
        <v>-23.04</v>
      </c>
      <c r="H49" s="204">
        <f t="shared" si="11"/>
        <v>42.400000000000006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E49-жовтень!E49</f>
        <v>4</v>
      </c>
      <c r="O49" s="208">
        <f>F49-жовтень!F49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5035.04</v>
      </c>
      <c r="G51" s="202">
        <f t="shared" si="13"/>
        <v>-1066.1499999999996</v>
      </c>
      <c r="H51" s="204">
        <f t="shared" si="11"/>
        <v>82.52554009955435</v>
      </c>
      <c r="I51" s="205">
        <f t="shared" si="14"/>
        <v>-1965</v>
      </c>
      <c r="J51" s="205">
        <f t="shared" si="16"/>
        <v>71.92873183581808</v>
      </c>
      <c r="K51" s="205">
        <v>6761.32</v>
      </c>
      <c r="L51" s="205">
        <f t="shared" si="1"/>
        <v>-1726.2799999999997</v>
      </c>
      <c r="M51" s="266">
        <f t="shared" si="17"/>
        <v>0.744682990895269</v>
      </c>
      <c r="N51" s="204">
        <f>E51-жовтень!E51</f>
        <v>635</v>
      </c>
      <c r="O51" s="208">
        <f>F51-жовтень!F51</f>
        <v>24.51000000000022</v>
      </c>
      <c r="P51" s="207">
        <f t="shared" si="15"/>
        <v>-610.4899999999998</v>
      </c>
      <c r="Q51" s="205">
        <f t="shared" si="12"/>
        <v>3.8598425196850736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724.06</v>
      </c>
      <c r="G52" s="36">
        <f t="shared" si="13"/>
        <v>-149.93000000000006</v>
      </c>
      <c r="H52" s="32">
        <f t="shared" si="11"/>
        <v>82.84534147987964</v>
      </c>
      <c r="I52" s="110">
        <f t="shared" si="14"/>
        <v>-245.94000000000005</v>
      </c>
      <c r="J52" s="110">
        <f t="shared" si="16"/>
        <v>74.64536082474226</v>
      </c>
      <c r="K52" s="110">
        <v>1017.62</v>
      </c>
      <c r="L52" s="110">
        <f>F52-K52</f>
        <v>-293.56000000000006</v>
      </c>
      <c r="M52" s="115">
        <f t="shared" si="17"/>
        <v>0.7115229653505237</v>
      </c>
      <c r="N52" s="111">
        <f>E52-жовтень!E52</f>
        <v>135</v>
      </c>
      <c r="O52" s="179">
        <f>F52-жовтень!F52</f>
        <v>21.75999999999999</v>
      </c>
      <c r="P52" s="112">
        <f t="shared" si="15"/>
        <v>-113.24000000000001</v>
      </c>
      <c r="Q52" s="132">
        <f t="shared" si="12"/>
        <v>16.118518518518513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4310.68</v>
      </c>
      <c r="G55" s="36">
        <f t="shared" si="13"/>
        <v>-911.4899999999998</v>
      </c>
      <c r="H55" s="32">
        <f t="shared" si="11"/>
        <v>82.54576162782905</v>
      </c>
      <c r="I55" s="110">
        <f t="shared" si="14"/>
        <v>-1713.3199999999997</v>
      </c>
      <c r="J55" s="110">
        <f t="shared" si="16"/>
        <v>71.55843293492697</v>
      </c>
      <c r="K55" s="110">
        <v>5698.8</v>
      </c>
      <c r="L55" s="110">
        <f>F55-K55</f>
        <v>-1388.12</v>
      </c>
      <c r="M55" s="115">
        <f t="shared" si="17"/>
        <v>0.7564188952060084</v>
      </c>
      <c r="N55" s="111">
        <f>E55-жовтень!E55</f>
        <v>500</v>
      </c>
      <c r="O55" s="179">
        <f>F55-жовтень!F55</f>
        <v>2.7600000000002183</v>
      </c>
      <c r="P55" s="112">
        <f t="shared" si="15"/>
        <v>-497.2399999999998</v>
      </c>
      <c r="Q55" s="132">
        <f t="shared" si="12"/>
        <v>0.5520000000000437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5772.25</v>
      </c>
      <c r="G57" s="202">
        <f t="shared" si="13"/>
        <v>634.2700000000004</v>
      </c>
      <c r="H57" s="204">
        <f t="shared" si="11"/>
        <v>112.34473470118608</v>
      </c>
      <c r="I57" s="205">
        <f t="shared" si="14"/>
        <v>622.25</v>
      </c>
      <c r="J57" s="205">
        <f t="shared" si="16"/>
        <v>112.08252427184466</v>
      </c>
      <c r="K57" s="205">
        <v>4367.82</v>
      </c>
      <c r="L57" s="205">
        <f aca="true" t="shared" si="18" ref="L57:L63">F57-K57</f>
        <v>1404.4300000000003</v>
      </c>
      <c r="M57" s="266">
        <f t="shared" si="17"/>
        <v>1.3215402649376577</v>
      </c>
      <c r="N57" s="204">
        <f>E57-жовтень!E57</f>
        <v>60</v>
      </c>
      <c r="O57" s="208">
        <f>F57-жовтень!F57</f>
        <v>233.78999999999996</v>
      </c>
      <c r="P57" s="207">
        <f t="shared" si="15"/>
        <v>173.78999999999996</v>
      </c>
      <c r="Q57" s="205">
        <f t="shared" si="12"/>
        <v>389.6499999999999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1195.94</v>
      </c>
      <c r="G59" s="202"/>
      <c r="H59" s="204"/>
      <c r="I59" s="205"/>
      <c r="J59" s="205"/>
      <c r="K59" s="206">
        <v>1141.97</v>
      </c>
      <c r="L59" s="205">
        <f t="shared" si="18"/>
        <v>53.97000000000003</v>
      </c>
      <c r="M59" s="266">
        <f t="shared" si="17"/>
        <v>1.0472604359133777</v>
      </c>
      <c r="N59" s="204"/>
      <c r="O59" s="220">
        <f>F59-жовтень!F59</f>
        <v>59.070000000000164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881287.9800000001</v>
      </c>
      <c r="G64" s="191">
        <f>F64-E64</f>
        <v>-62341.799999999814</v>
      </c>
      <c r="H64" s="192">
        <f>F64/E64*100</f>
        <v>93.3934047736391</v>
      </c>
      <c r="I64" s="193">
        <f>F64-D64</f>
        <v>-137656.75</v>
      </c>
      <c r="J64" s="193">
        <f>F64/D64*100</f>
        <v>86.49026331388946</v>
      </c>
      <c r="K64" s="193">
        <v>650580.27</v>
      </c>
      <c r="L64" s="193">
        <f>F64-K64</f>
        <v>230707.71000000008</v>
      </c>
      <c r="M64" s="267">
        <f>F64/K64</f>
        <v>1.3546183624658645</v>
      </c>
      <c r="N64" s="191">
        <f>N8+N38+N62+N63</f>
        <v>92637.22000000002</v>
      </c>
      <c r="O64" s="191">
        <f>O8+O38+O62+O63</f>
        <v>28636.950000000037</v>
      </c>
      <c r="P64" s="195">
        <f>O64-N64</f>
        <v>-64000.269999999975</v>
      </c>
      <c r="Q64" s="193">
        <f>O64/N64*100</f>
        <v>30.913006672695953</v>
      </c>
      <c r="R64" s="28">
        <f>O64-34768</f>
        <v>-6131.049999999963</v>
      </c>
      <c r="S64" s="128">
        <f>O64/34768</f>
        <v>0.8236582489645662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2131.42</v>
      </c>
      <c r="G73" s="202">
        <f aca="true" t="shared" si="19" ref="G73:G83">F73-E73</f>
        <v>-2068.58</v>
      </c>
      <c r="H73" s="204"/>
      <c r="I73" s="207">
        <f aca="true" t="shared" si="20" ref="I73:I83">F73-D73</f>
        <v>-13068.58</v>
      </c>
      <c r="J73" s="207">
        <f>F73/D73*100</f>
        <v>14.0225</v>
      </c>
      <c r="K73" s="207">
        <v>619</v>
      </c>
      <c r="L73" s="207">
        <f aca="true" t="shared" si="21" ref="L73:L83">F73-K73</f>
        <v>1512.42</v>
      </c>
      <c r="M73" s="254">
        <f>F73/K73</f>
        <v>3.4433279483037156</v>
      </c>
      <c r="N73" s="204">
        <f>E73-жовтень!E73</f>
        <v>1500</v>
      </c>
      <c r="O73" s="208">
        <f>F73-жовтень!F73</f>
        <v>79.22000000000025</v>
      </c>
      <c r="P73" s="207">
        <f aca="true" t="shared" si="22" ref="P73:P86">O73-N73</f>
        <v>-1420.7799999999997</v>
      </c>
      <c r="Q73" s="207">
        <f>O73/N73*100</f>
        <v>5.28133333333335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12246.75</v>
      </c>
      <c r="G75" s="202">
        <f t="shared" si="19"/>
        <v>3745.8999999999996</v>
      </c>
      <c r="H75" s="204">
        <f>F75/E75*100</f>
        <v>144.06500526417946</v>
      </c>
      <c r="I75" s="207">
        <f t="shared" si="20"/>
        <v>-3753.25</v>
      </c>
      <c r="J75" s="207">
        <f>F75/D75*100</f>
        <v>76.5421875</v>
      </c>
      <c r="K75" s="207">
        <v>2292.73</v>
      </c>
      <c r="L75" s="207">
        <f t="shared" si="21"/>
        <v>9954.02</v>
      </c>
      <c r="M75" s="254">
        <f>F75/K75</f>
        <v>5.341557880779682</v>
      </c>
      <c r="N75" s="204">
        <f>E75-жовтень!E75</f>
        <v>5500</v>
      </c>
      <c r="O75" s="208">
        <f>F75-жовтень!F75</f>
        <v>0</v>
      </c>
      <c r="P75" s="207">
        <f t="shared" si="22"/>
        <v>-5500</v>
      </c>
      <c r="Q75" s="207">
        <f>O75/N75*100</f>
        <v>0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21631.67</v>
      </c>
      <c r="G77" s="226">
        <f t="shared" si="19"/>
        <v>-1334.4900000000052</v>
      </c>
      <c r="H77" s="227">
        <f>F77/E77*100</f>
        <v>94.18932028689166</v>
      </c>
      <c r="I77" s="228">
        <f t="shared" si="20"/>
        <v>-26739.33</v>
      </c>
      <c r="J77" s="228">
        <f>F77/D77*100</f>
        <v>44.72032829587976</v>
      </c>
      <c r="K77" s="228">
        <v>11124.73</v>
      </c>
      <c r="L77" s="228">
        <f t="shared" si="21"/>
        <v>10506.939999999999</v>
      </c>
      <c r="M77" s="260">
        <f>F77/K77</f>
        <v>1.9444669668387458</v>
      </c>
      <c r="N77" s="226">
        <f>N73+N74+N75+N76</f>
        <v>12102.400000000001</v>
      </c>
      <c r="O77" s="230">
        <f>O73+O74+O75+O76</f>
        <v>80.22000000000025</v>
      </c>
      <c r="P77" s="228">
        <f t="shared" si="22"/>
        <v>-12022.18</v>
      </c>
      <c r="Q77" s="228">
        <f>O77/N77*100</f>
        <v>0.6628437334743542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38.94</v>
      </c>
      <c r="G78" s="202">
        <f t="shared" si="19"/>
        <v>38.94</v>
      </c>
      <c r="H78" s="204"/>
      <c r="I78" s="207">
        <f t="shared" si="20"/>
        <v>37.94</v>
      </c>
      <c r="J78" s="207"/>
      <c r="K78" s="207">
        <v>0.35</v>
      </c>
      <c r="L78" s="207">
        <f t="shared" si="21"/>
        <v>38.589999999999996</v>
      </c>
      <c r="M78" s="254">
        <f>F78/K78</f>
        <v>111.25714285714285</v>
      </c>
      <c r="N78" s="204">
        <f>E78-жовтень!E78</f>
        <v>0</v>
      </c>
      <c r="O78" s="208">
        <f>F78-жовтень!F78</f>
        <v>2.989999999999995</v>
      </c>
      <c r="P78" s="207">
        <f t="shared" si="22"/>
        <v>2.989999999999995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6843.88</v>
      </c>
      <c r="G80" s="202">
        <f t="shared" si="19"/>
        <v>-2654.8200000000006</v>
      </c>
      <c r="H80" s="204">
        <f>F80/E80*100</f>
        <v>72.05070167496605</v>
      </c>
      <c r="I80" s="207">
        <f t="shared" si="20"/>
        <v>-2656.12</v>
      </c>
      <c r="J80" s="207">
        <f>F80/D80*100</f>
        <v>72.04084210526315</v>
      </c>
      <c r="K80" s="207">
        <v>0</v>
      </c>
      <c r="L80" s="207">
        <f t="shared" si="21"/>
        <v>6843.88</v>
      </c>
      <c r="M80" s="254"/>
      <c r="N80" s="204">
        <f>E80-жовтень!E80</f>
        <v>1873.4000000000005</v>
      </c>
      <c r="O80" s="208">
        <f>F80-жовтень!F80</f>
        <v>7.8100000000004</v>
      </c>
      <c r="P80" s="207">
        <f>O80-N80</f>
        <v>-1865.5900000000001</v>
      </c>
      <c r="Q80" s="231">
        <f>O80/N80*100</f>
        <v>0.41688907868049524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1.31</v>
      </c>
      <c r="L81" s="207">
        <f t="shared" si="21"/>
        <v>0.030000000000000027</v>
      </c>
      <c r="M81" s="254">
        <f>F81/K81</f>
        <v>1.0229007633587786</v>
      </c>
      <c r="N81" s="204">
        <f>E81-жовтень!E81</f>
        <v>0</v>
      </c>
      <c r="O81" s="208">
        <f>F81-жовтень!F81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6884.16</v>
      </c>
      <c r="G82" s="224">
        <f>G78+G81+G79+G80</f>
        <v>-2614.5400000000004</v>
      </c>
      <c r="H82" s="227">
        <f>F82/E82*100</f>
        <v>72.47475970395948</v>
      </c>
      <c r="I82" s="228">
        <f t="shared" si="20"/>
        <v>-2616.84</v>
      </c>
      <c r="J82" s="228">
        <f>F82/D82*100</f>
        <v>72.45721502999683</v>
      </c>
      <c r="K82" s="228">
        <v>1.66</v>
      </c>
      <c r="L82" s="228">
        <f t="shared" si="21"/>
        <v>6882.5</v>
      </c>
      <c r="M82" s="268">
        <f>F82/K82</f>
        <v>4147.084337349398</v>
      </c>
      <c r="N82" s="226">
        <f>N78+N81+N79+N80</f>
        <v>1873.4000000000005</v>
      </c>
      <c r="O82" s="230">
        <f>O78+O81+O79+O80</f>
        <v>10.800000000000395</v>
      </c>
      <c r="P82" s="226">
        <f>P78+P81+P79+P80</f>
        <v>-1862.6000000000001</v>
      </c>
      <c r="Q82" s="228">
        <f>O82/N82*100</f>
        <v>0.5764919397886406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28533.12</v>
      </c>
      <c r="G85" s="233">
        <f>F85-E85</f>
        <v>-3962.100000000006</v>
      </c>
      <c r="H85" s="234">
        <f>F85/E85*100</f>
        <v>87.80712978708867</v>
      </c>
      <c r="I85" s="235">
        <f>F85-D85</f>
        <v>-29381.88</v>
      </c>
      <c r="J85" s="235">
        <f>F85/D85*100</f>
        <v>49.267236467236465</v>
      </c>
      <c r="K85" s="235">
        <v>11101.47</v>
      </c>
      <c r="L85" s="235">
        <f>F85-K85</f>
        <v>17431.65</v>
      </c>
      <c r="M85" s="269">
        <f>F85/K85</f>
        <v>2.570210972060457</v>
      </c>
      <c r="N85" s="232">
        <f>N71+N83+N77+N82</f>
        <v>13976.390000000003</v>
      </c>
      <c r="O85" s="232">
        <f>O71+O83+O77+O82+O84</f>
        <v>91.02000000000065</v>
      </c>
      <c r="P85" s="235">
        <f t="shared" si="22"/>
        <v>-13885.370000000003</v>
      </c>
      <c r="Q85" s="235">
        <f>O85/N85*100</f>
        <v>0.6512411287893414</v>
      </c>
      <c r="R85" s="28">
        <f>O85-8104.96</f>
        <v>-8013.94</v>
      </c>
      <c r="S85" s="101">
        <f>O85/8104.96</f>
        <v>0.011230160296904691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909821.1000000001</v>
      </c>
      <c r="G86" s="233">
        <f>F86-E86</f>
        <v>-66303.89999999979</v>
      </c>
      <c r="H86" s="234">
        <f>F86/E86*100</f>
        <v>93.20743757203229</v>
      </c>
      <c r="I86" s="235">
        <f>F86-D86</f>
        <v>-167038.6299999999</v>
      </c>
      <c r="J86" s="235">
        <f>F86/D86*100</f>
        <v>84.48835764338594</v>
      </c>
      <c r="K86" s="235">
        <f>K64+K85</f>
        <v>661681.74</v>
      </c>
      <c r="L86" s="235">
        <f>F86-K86</f>
        <v>248139.3600000001</v>
      </c>
      <c r="M86" s="269">
        <f>F86/K86</f>
        <v>1.3750131596498343</v>
      </c>
      <c r="N86" s="233">
        <f>N64+N85</f>
        <v>106613.61000000002</v>
      </c>
      <c r="O86" s="233">
        <f>O64+O85</f>
        <v>28727.970000000038</v>
      </c>
      <c r="P86" s="235">
        <f t="shared" si="22"/>
        <v>-77885.63999999998</v>
      </c>
      <c r="Q86" s="235">
        <f>O86/N86*100</f>
        <v>26.945874921597753</v>
      </c>
      <c r="R86" s="28">
        <f>O86-42872.96</f>
        <v>-14144.989999999962</v>
      </c>
      <c r="S86" s="101">
        <f>O86/42872.96</f>
        <v>0.6700719987609915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14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4571.447857142855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42684</v>
      </c>
      <c r="D90" s="31">
        <v>2108.5</v>
      </c>
      <c r="G90" s="4" t="s">
        <v>59</v>
      </c>
      <c r="O90" s="424"/>
      <c r="P90" s="424"/>
      <c r="T90" s="186">
        <f t="shared" si="23"/>
        <v>2108.5</v>
      </c>
    </row>
    <row r="91" spans="3:16" ht="15">
      <c r="C91" s="87">
        <v>42683</v>
      </c>
      <c r="D91" s="31">
        <v>2887.4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42682</v>
      </c>
      <c r="D92" s="31">
        <v>2881.4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79.19069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843.3400000000001</v>
      </c>
      <c r="G97" s="73">
        <f>G45+G48+G49</f>
        <v>-136.65999999999994</v>
      </c>
      <c r="H97" s="74"/>
      <c r="I97" s="74"/>
      <c r="N97" s="31">
        <f>N45+N48+N49</f>
        <v>22</v>
      </c>
      <c r="O97" s="246">
        <f>O45+O48+O49</f>
        <v>48.83000000000007</v>
      </c>
      <c r="P97" s="31">
        <f>P45+P48+P49</f>
        <v>26.83000000000007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822039.47</v>
      </c>
      <c r="G99" s="31">
        <f>F99-E99</f>
        <v>-62804.44999999995</v>
      </c>
      <c r="H99" s="415">
        <f>F99/E99</f>
        <v>0.9290220019819994</v>
      </c>
      <c r="I99" s="31">
        <f>F99-D99</f>
        <v>-135472.78000000014</v>
      </c>
      <c r="J99" s="415">
        <f>F99/D99</f>
        <v>0.8585158779952945</v>
      </c>
      <c r="N99" s="31">
        <f>N9+N15+N17+N18+N19+N20+N39+N42+N44+N56+N62+N63</f>
        <v>88760.22000000002</v>
      </c>
      <c r="O99" s="414">
        <f>O9+O15+O17+O18+O19+O20+O39+O42+O44+O56+O62+O63</f>
        <v>23935.780000000035</v>
      </c>
      <c r="P99" s="31">
        <f>O99-N99</f>
        <v>-64824.43999999998</v>
      </c>
      <c r="Q99" s="415">
        <f>O99/N99</f>
        <v>0.26966787599219594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59248.51</v>
      </c>
      <c r="G100" s="31">
        <f>G40+G41+G43+G45+G47+G48+G49+G50+G51+G57+G61+G44</f>
        <v>462.6500000000009</v>
      </c>
      <c r="H100" s="415">
        <f>F100/E100</f>
        <v>1.007870089848137</v>
      </c>
      <c r="I100" s="31">
        <f>I40+I41+I43+I45+I47+I48+I49+I50+I51+I57+I61+I44</f>
        <v>-2183.9700000000003</v>
      </c>
      <c r="J100" s="415">
        <f>F100/D100</f>
        <v>0.9644492620190492</v>
      </c>
      <c r="K100" s="31">
        <f aca="true" t="shared" si="24" ref="K100:P100">K40+K41+K43+K45+K47+K48+K49+K50+K51+K57+K61+K44</f>
        <v>41736.590000000004</v>
      </c>
      <c r="L100" s="31">
        <f t="shared" si="24"/>
        <v>17511.920000000002</v>
      </c>
      <c r="M100" s="31">
        <f t="shared" si="24"/>
        <v>12.759933311922087</v>
      </c>
      <c r="N100" s="31">
        <f t="shared" si="24"/>
        <v>3877</v>
      </c>
      <c r="O100" s="414">
        <f t="shared" si="24"/>
        <v>4718.170000000003</v>
      </c>
      <c r="P100" s="31">
        <f t="shared" si="24"/>
        <v>824.1700000000021</v>
      </c>
      <c r="Q100" s="415">
        <f>O100/N100</f>
        <v>1.2169641475367559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881287.98</v>
      </c>
      <c r="G101" s="31">
        <f t="shared" si="25"/>
        <v>-62341.79999999995</v>
      </c>
      <c r="H101" s="415">
        <f>F101/E101</f>
        <v>0.9339340477363909</v>
      </c>
      <c r="I101" s="31">
        <f t="shared" si="25"/>
        <v>-137656.75000000015</v>
      </c>
      <c r="J101" s="415">
        <f>F101/D101</f>
        <v>0.8649026331388945</v>
      </c>
      <c r="K101" s="31">
        <f t="shared" si="25"/>
        <v>41736.590000000004</v>
      </c>
      <c r="L101" s="31">
        <f t="shared" si="25"/>
        <v>17511.920000000002</v>
      </c>
      <c r="M101" s="31">
        <f t="shared" si="25"/>
        <v>12.759933311922087</v>
      </c>
      <c r="N101" s="31">
        <f t="shared" si="25"/>
        <v>92637.22000000002</v>
      </c>
      <c r="O101" s="414">
        <f t="shared" si="25"/>
        <v>28653.950000000037</v>
      </c>
      <c r="P101" s="31">
        <f t="shared" si="25"/>
        <v>-64000.269999999975</v>
      </c>
      <c r="Q101" s="415">
        <f>O101/N101</f>
        <v>0.30931357827879585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1.382431946694851E-10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213195.79000000007</v>
      </c>
      <c r="M102" s="31">
        <f t="shared" si="26"/>
        <v>-11.405314949456223</v>
      </c>
      <c r="N102" s="31">
        <f t="shared" si="26"/>
        <v>0</v>
      </c>
      <c r="O102" s="31">
        <f t="shared" si="26"/>
        <v>-17</v>
      </c>
      <c r="P102" s="31">
        <f t="shared" si="26"/>
        <v>0</v>
      </c>
      <c r="Q102" s="31"/>
      <c r="R102" s="31">
        <f t="shared" si="26"/>
        <v>-6131.049999999963</v>
      </c>
      <c r="S102" s="31">
        <f t="shared" si="26"/>
        <v>0.8236582489645662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79.19069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2016-11-11T08:37:51Z</cp:lastPrinted>
  <dcterms:created xsi:type="dcterms:W3CDTF">2003-07-28T11:27:56Z</dcterms:created>
  <dcterms:modified xsi:type="dcterms:W3CDTF">2016-11-11T08:52:53Z</dcterms:modified>
  <cp:category/>
  <cp:version/>
  <cp:contentType/>
  <cp:contentStatus/>
</cp:coreProperties>
</file>